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<sst xmlns="http://schemas.openxmlformats.org/spreadsheetml/2006/main" count="1994" uniqueCount="691">
  <si>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</si>
  <si>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</si>
  <si>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</si>
  <si>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</si>
  <si>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</si>
  <si>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</si>
  <si>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</si>
  <si>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</si>
  <si>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</si>
  <si>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</si>
  <si>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</si>
  <si>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</si>
  <si>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</si>
  <si>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</si>
  <si>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</si>
  <si>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</si>
  <si>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</si>
  <si>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</si>
  <si>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</si>
  <si>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</si>
  <si>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</si>
  <si>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</si>
  <si>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</si>
  <si>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</si>
  <si>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</si>
  <si>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</si>
  <si>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</si>
  <si>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</si>
  <si>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</si>
  <si>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</si>
  <si>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</si>
  <si>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</si>
  <si>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</si>
  <si>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</si>
  <si>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</si>
  <si>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</si>
  <si>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</si>
  <si>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</si>
  <si>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</si>
  <si>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</si>
  <si>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</si>
  <si>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</si>
  <si>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</si>
  <si>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</si>
  <si>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</si>
  <si>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</si>
  <si>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</si>
  <si>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</si>
  <si>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</si>
  <si>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</si>
  <si>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</si>
  <si>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</si>
  <si>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</si>
  <si>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</si>
  <si>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</si>
  <si>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</si>
  <si>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</si>
  <si>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</si>
  <si>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</si>
  <si>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</si>
  <si>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</si>
  <si>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</si>
  <si>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</si>
  <si>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</si>
  <si>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</si>
  <si>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</si>
  <si>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</si>
  <si>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</si>
  <si>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</si>
  <si>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</si>
  <si>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</si>
  <si>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</si>
  <si>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</si>
  <si>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</si>
  <si>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</si>
  <si>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</si>
  <si>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</si>
  <si>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</si>
  <si>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</si>
  <si>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</si>
  <si>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</si>
  <si>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</si>
  <si>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</si>
  <si>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</si>
  <si>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</si>
  <si>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</si>
  <si>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</si>
  <si>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</si>
  <si>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</si>
  <si>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</si>
  <si>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</si>
  <si>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</si>
  <si>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</si>
  <si>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</si>
  <si>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</si>
  <si>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</si>
  <si>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</si>
  <si>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</si>
  <si>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</si>
  <si>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</si>
  <si>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</si>
  <si>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</si>
  <si>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</si>
  <si>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</si>
  <si>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</si>
  <si>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</si>
  <si>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</si>
  <si>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</si>
  <si>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</si>
  <si>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</si>
  <si>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</si>
  <si>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</si>
  <si>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</si>
  <si>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</si>
  <si>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</si>
  <si>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</si>
  <si>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</si>
  <si>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</si>
  <si>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</si>
  <si>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</si>
  <si>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</si>
  <si>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</si>
  <si>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</si>
  <si>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</si>
  <si>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</si>
  <si>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</si>
  <si>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</si>
  <si>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</si>
  <si>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</si>
  <si>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</si>
  <si>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</si>
  <si>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</si>
  <si>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</si>
  <si>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</si>
  <si>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</si>
  <si>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</si>
  <si>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</si>
  <si>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</si>
  <si>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</si>
  <si>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</si>
  <si>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</si>
  <si>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</si>
  <si>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</si>
  <si>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</si>
  <si>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</si>
  <si>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</si>
  <si>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</si>
  <si>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</si>
  <si>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</si>
  <si>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</si>
  <si>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</si>
  <si>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</si>
  <si>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</si>
  <si>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</si>
  <si>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</si>
  <si>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</si>
  <si>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</si>
  <si>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</si>
  <si>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</si>
  <si>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</si>
  <si>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</si>
  <si>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</si>
  <si>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</si>
  <si>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</si>
  <si>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</si>
  <si>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</si>
  <si>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</si>
  <si>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</si>
  <si>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</si>
  <si>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</si>
  <si>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</si>
  <si>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</si>
  <si>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</si>
  <si>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</si>
  <si>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</si>
  <si>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</si>
  <si>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</si>
  <si>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</si>
  <si>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</si>
  <si>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</si>
  <si>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</si>
  <si>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</si>
  <si>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</si>
  <si>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</si>
  <si>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</si>
  <si>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</si>
  <si>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</si>
  <si>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</si>
  <si>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</si>
  <si>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</si>
  <si>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</si>
  <si>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</si>
  <si>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</si>
  <si>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</si>
  <si>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</si>
  <si>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</si>
  <si>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</si>
  <si>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</si>
  <si>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</si>
  <si>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</si>
  <si>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</si>
  <si>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</si>
  <si>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</si>
  <si>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</si>
  <si>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</si>
  <si>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</si>
  <si>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</si>
  <si>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</si>
  <si>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</si>
  <si>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</si>
  <si>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</si>
  <si>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</si>
  <si>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</si>
  <si>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</si>
  <si>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</si>
  <si>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</si>
  <si>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</si>
  <si>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</si>
  <si>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</si>
  <si>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</si>
  <si>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</si>
  <si>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</si>
  <si>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</si>
  <si>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</si>
  <si>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</si>
  <si>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</si>
  <si>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</si>
  <si>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</si>
  <si>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</si>
  <si>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</si>
  <si>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</si>
  <si>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</si>
  <si>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</si>
  <si>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</si>
  <si>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</si>
  <si>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</si>
  <si>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</si>
  <si>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</si>
  <si>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</si>
  <si>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</si>
  <si>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</si>
  <si>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</si>
  <si>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</si>
  <si>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</si>
  <si>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</si>
  <si>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</si>
  <si>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</si>
  <si>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</si>
  <si>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</si>
  <si>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</si>
  <si>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</si>
  <si>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</si>
  <si>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</si>
  <si>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</si>
  <si>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</si>
  <si>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</si>
  <si>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</si>
  <si>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</si>
  <si>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</si>
  <si>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</si>
  <si>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</si>
  <si>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</si>
  <si>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</si>
  <si>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</si>
  <si>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</si>
  <si>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</si>
  <si>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</si>
  <si>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</si>
  <si>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</si>
  <si>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</si>
  <si>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</si>
  <si>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</si>
  <si>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</si>
  <si>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</si>
  <si>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</si>
  <si>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</si>
  <si>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</si>
  <si>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</si>
  <si>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</si>
  <si>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</si>
  <si>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</si>
  <si>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</si>
  <si>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</si>
  <si>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</si>
  <si>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</si>
  <si>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</si>
  <si>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</si>
  <si>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</si>
  <si>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</si>
  <si>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</si>
  <si>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</si>
  <si>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</si>
  <si>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</si>
  <si>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</si>
  <si>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</si>
  <si>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</si>
  <si>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</si>
  <si>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</si>
  <si>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</si>
  <si>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</si>
  <si>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</si>
  <si>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</si>
  <si>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</si>
  <si>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</si>
  <si>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</si>
  <si>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</si>
  <si>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</si>
  <si>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</si>
  <si>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</si>
  <si>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</si>
  <si>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</si>
  <si>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</si>
  <si>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</si>
  <si>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</si>
  <si>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</si>
  <si>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</si>
  <si>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</si>
  <si>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</si>
  <si>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</si>
  <si>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</si>
  <si>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</si>
  <si>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</si>
  <si>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</si>
  <si>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</si>
  <si>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</si>
  <si>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</si>
  <si>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</si>
  <si>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</si>
  <si>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</si>
  <si>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</si>
  <si>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</si>
  <si>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</si>
  <si>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</si>
  <si>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</si>
  <si>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</si>
  <si>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</si>
  <si>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</si>
  <si>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</si>
  <si>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</si>
  <si>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</si>
  <si>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</si>
  <si>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</si>
  <si>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</si>
  <si>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</si>
  <si>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</si>
  <si>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</si>
  <si>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</si>
  <si>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</si>
  <si>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</si>
  <si>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</si>
  <si>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</si>
  <si>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</si>
  <si>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</si>
  <si>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</si>
  <si>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</si>
  <si>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</si>
  <si>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</si>
  <si>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</si>
  <si>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</si>
  <si>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</si>
  <si>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</si>
  <si>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</si>
  <si>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</si>
  <si>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</si>
  <si>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</si>
  <si>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</si>
  <si>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</si>
  <si>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</si>
  <si>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</si>
  <si>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</si>
  <si>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</si>
  <si>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</si>
  <si>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</si>
  <si>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</si>
  <si>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</si>
  <si>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</si>
  <si>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</si>
  <si>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</si>
  <si>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</si>
  <si>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</si>
  <si>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</si>
  <si>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</si>
  <si>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</si>
  <si>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</si>
  <si>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</si>
  <si>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</si>
  <si>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</si>
  <si>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</si>
  <si>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</si>
  <si>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</si>
  <si>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</si>
  <si>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</si>
  <si>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</si>
  <si>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</si>
  <si>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</si>
  <si>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</si>
  <si>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</si>
  <si>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</si>
  <si>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</si>
  <si>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</si>
  <si>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</si>
  <si>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</si>
  <si>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</si>
  <si>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</si>
  <si>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</si>
  <si>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</si>
  <si>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</si>
  <si>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</si>
  <si>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</si>
  <si>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</si>
  <si>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</si>
  <si>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</si>
  <si>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</si>
  <si>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</si>
  <si>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</si>
  <si>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</si>
  <si>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</si>
  <si>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</si>
  <si>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</si>
  <si>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</si>
  <si>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</si>
  <si>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</si>
  <si>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</si>
  <si>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</si>
  <si>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</si>
  <si>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</si>
  <si>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</si>
  <si>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</si>
  <si>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</si>
  <si>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</si>
  <si>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</si>
  <si>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</si>
  <si>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</si>
  <si>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</si>
  <si>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</si>
  <si>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</si>
  <si>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</si>
  <si>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</si>
  <si>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</si>
  <si>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</si>
  <si>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</si>
  <si>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</si>
  <si>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</si>
  <si>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</si>
  <si>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</si>
  <si>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</si>
  <si>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</si>
  <si>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</si>
  <si>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</si>
  <si>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</si>
  <si>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</si>
  <si>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</si>
  <si>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</si>
  <si>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</si>
  <si>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</si>
  <si>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</si>
  <si>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</si>
  <si>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</si>
  <si>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</si>
  <si>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</si>
  <si>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</si>
  <si>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</si>
  <si>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</si>
  <si>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</si>
  <si>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</si>
  <si>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</si>
  <si>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</si>
  <si>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</si>
  <si>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</si>
  <si>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</si>
  <si>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</si>
  <si>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</si>
  <si>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</si>
  <si>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</si>
  <si>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</si>
  <si>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</si>
  <si>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</si>
  <si>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</si>
  <si>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</si>
  <si>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</si>
  <si>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</si>
  <si>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</si>
  <si>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</si>
  <si>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</si>
  <si>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</si>
  <si>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</si>
  <si>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</si>
  <si>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</si>
  <si>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</si>
  <si>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</si>
  <si>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</si>
  <si>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</si>
  <si>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</si>
  <si>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</si>
  <si>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</si>
  <si>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</si>
  <si>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</si>
  <si>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</si>
  <si>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</si>
  <si>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</si>
  <si>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</si>
  <si>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</si>
  <si>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</si>
  <si>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</si>
  <si>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</si>
  <si>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</si>
  <si>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</si>
  <si>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</si>
  <si>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</si>
  <si>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</si>
  <si>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</si>
  <si>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</si>
  <si>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</si>
  <si>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</si>
  <si>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</si>
  <si>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</si>
  <si>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</si>
  <si>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</si>
  <si>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</si>
  <si>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</si>
  <si>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</si>
  <si>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</si>
  <si>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</si>
  <si>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</si>
  <si>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</si>
  <si>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</si>
  <si>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</si>
  <si>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</si>
  <si>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</si>
  <si>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</si>
  <si>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</si>
  <si>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</si>
  <si>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</si>
  <si>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</si>
  <si>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</si>
  <si>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</si>
  <si>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</si>
  <si>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</si>
  <si>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</si>
  <si>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</si>
  <si>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</si>
  <si>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</si>
  <si>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</si>
  <si>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</si>
  <si>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</si>
  <si>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</si>
  <si>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</si>
  <si>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</si>
  <si>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</si>
  <si>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</si>
  <si>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</si>
  <si>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</si>
  <si>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</si>
  <si>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</si>
  <si>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</si>
  <si>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</si>
  <si>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</si>
  <si>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</si>
  <si>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</si>
  <si>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</si>
  <si>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</si>
  <si>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</si>
  <si>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</si>
  <si>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</si>
  <si>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</si>
  <si>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</si>
  <si>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</si>
  <si>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</si>
  <si>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</si>
  <si>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</si>
  <si>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</si>
  <si>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</si>
  <si>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</si>
  <si>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</si>
  <si>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</si>
  <si>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</si>
  <si>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</si>
  <si>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</si>
  <si>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</si>
  <si>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</si>
  <si>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</si>
  <si>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</si>
  <si>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</si>
  <si>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</si>
  <si>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</si>
  <si>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</si>
  <si>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</si>
  <si>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</si>
  <si>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</si>
  <si>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</si>
  <si>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</si>
  <si>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</si>
  <si>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</si>
  <si>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</si>
  <si>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</si>
  <si>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</si>
  <si>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</si>
  <si>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</si>
  <si>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</si>
  <si>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</si>
  <si>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</si>
  <si>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</si>
  <si>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</si>
  <si>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</si>
  <si>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</si>
  <si>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</si>
  <si>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</si>
  <si>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</si>
  <si>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</si>
  <si>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</si>
  <si>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</si>
  <si>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</si>
  <si>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</si>
  <si>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</si>
  <si>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</si>
  <si>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</si>
  <si>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</si>
  <si>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</si>
  <si>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</si>
  <si>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</si>
  <si>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</si>
  <si>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</si>
  <si>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</si>
  <si>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</si>
  <si>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</si>
  <si>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</si>
  <si>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</si>
  <si>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</si>
  <si>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</si>
  <si>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</si>
  <si>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</si>
  <si>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</si>
  <si>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</si>
  <si>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</si>
  <si>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</si>
  <si>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</si>
  <si>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</si>
  <si>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</si>
  <si>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</si>
  <si>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</si>
  <si>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</si>
  <si>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</si>
  <si>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</si>
  <si>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</si>
  <si>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</si>
  <si>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</si>
  <si>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</si>
  <si>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</si>
  <si>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</si>
  <si>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</si>
  <si>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</si>
  <si>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</si>
  <si>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</si>
  <si>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</si>
  <si>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</si>
  <si>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</si>
  <si>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</si>
  <si>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</si>
  <si>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</si>
  <si>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</si>
  <si>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</si>
  <si>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</si>
  <si>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</si>
  <si>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</si>
  <si>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</si>
  <si>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</si>
  <si>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</si>
  <si>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</si>
  <si>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</si>
  <si>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</si>
  <si>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</si>
  <si>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</si>
  <si>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</si>
  <si>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</si>
  <si>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</si>
  <si>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</si>
  <si>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</si>
  <si>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</si>
  <si>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</si>
  <si>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</si>
  <si>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</si>
  <si>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</si>
  <si>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</si>
  <si>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</si>
  <si>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</si>
  <si>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</si>
  <si>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</si>
  <si>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</si>
  <si>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Радостина Пантелеева и Недялко Динев</t>
  </si>
  <si>
    <t>"Оптима Одит" АД</t>
  </si>
  <si>
    <t>1. Марина Кейп Турс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</si>
</sst>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72" fontId="4" fillId="0" borderId="0" xfId="64" applyNumberFormat="1" applyFont="1" applyAlignment="1" applyProtection="1">
      <alignment horizontal="left" vertical="center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3" fontId="4" fillId="34" borderId="19" xfId="64" applyNumberFormat="1" applyFont="1" applyFill="1" applyBorder="1" applyAlignment="1" applyProtection="1">
      <alignment vertical="top"/>
      <protection locked="0"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72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4" borderId="20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0" fontId="10" fillId="33" borderId="22" xfId="64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3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2" xfId="64" applyNumberFormat="1" applyFont="1" applyBorder="1" applyAlignment="1" applyProtection="1">
      <alignment horizontal="center" vertical="center" wrapText="1"/>
      <protection/>
    </xf>
    <xf numFmtId="49" fontId="3" fillId="3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2" xfId="66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center"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left"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left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6" xfId="65" applyFont="1" applyBorder="1" applyAlignment="1" applyProtection="1">
      <alignment wrapText="1"/>
      <protection/>
    </xf>
    <xf numFmtId="3" fontId="4" fillId="34" borderId="27" xfId="64" applyNumberFormat="1" applyFont="1" applyFill="1" applyBorder="1" applyAlignment="1" applyProtection="1">
      <alignment vertical="top"/>
      <protection locked="0"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3" xfId="65" applyNumberFormat="1" applyFont="1" applyFill="1" applyBorder="1" applyAlignment="1" applyProtection="1">
      <alignment horizontal="center" vertical="center" wrapText="1"/>
      <protection/>
    </xf>
    <xf numFmtId="0" fontId="11" fillId="0" borderId="28" xfId="65" applyFont="1" applyBorder="1" applyAlignment="1" applyProtection="1">
      <alignment wrapText="1"/>
      <protection/>
    </xf>
    <xf numFmtId="49" fontId="11" fillId="0" borderId="29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6" xfId="65" applyFont="1" applyBorder="1" applyAlignment="1" applyProtection="1">
      <alignment horizontal="right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2" xfId="65" applyFont="1" applyBorder="1" applyAlignment="1" applyProtection="1">
      <alignment horizontal="right"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4" fillId="34" borderId="29" xfId="64" applyNumberFormat="1" applyFont="1" applyFill="1" applyBorder="1" applyAlignment="1" applyProtection="1">
      <alignment vertical="top"/>
      <protection locked="0"/>
    </xf>
    <xf numFmtId="0" fontId="3" fillId="0" borderId="24" xfId="65" applyFont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0" fontId="11" fillId="0" borderId="30" xfId="65" applyFont="1" applyBorder="1" applyAlignment="1" applyProtection="1">
      <alignment wrapText="1"/>
      <protection/>
    </xf>
    <xf numFmtId="49" fontId="11" fillId="0" borderId="31" xfId="65" applyNumberFormat="1" applyFont="1" applyBorder="1" applyAlignment="1" applyProtection="1">
      <alignment horizontal="center" wrapText="1"/>
      <protection/>
    </xf>
    <xf numFmtId="0" fontId="4" fillId="0" borderId="28" xfId="65" applyFont="1" applyBorder="1" applyAlignment="1" applyProtection="1">
      <alignment wrapText="1"/>
      <protection/>
    </xf>
    <xf numFmtId="0" fontId="11" fillId="0" borderId="24" xfId="65" applyFont="1" applyBorder="1" applyAlignment="1" applyProtection="1">
      <alignment wrapText="1"/>
      <protection/>
    </xf>
    <xf numFmtId="49" fontId="11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32" xfId="65" applyNumberFormat="1" applyFont="1" applyFill="1" applyBorder="1" applyAlignment="1" applyProtection="1">
      <alignment wrapText="1"/>
      <protection/>
    </xf>
    <xf numFmtId="3" fontId="11" fillId="34" borderId="31" xfId="64" applyNumberFormat="1" applyFont="1" applyFill="1" applyBorder="1" applyAlignment="1" applyProtection="1">
      <alignment vertical="top"/>
      <protection locked="0"/>
    </xf>
    <xf numFmtId="3" fontId="11" fillId="0" borderId="25" xfId="65" applyNumberFormat="1" applyFont="1" applyFill="1" applyBorder="1" applyAlignment="1" applyProtection="1">
      <alignment wrapText="1"/>
      <protection/>
    </xf>
    <xf numFmtId="3" fontId="11" fillId="0" borderId="32" xfId="65" applyNumberFormat="1" applyFont="1" applyFill="1" applyBorder="1" applyAlignment="1" applyProtection="1">
      <alignment wrapText="1"/>
      <protection/>
    </xf>
    <xf numFmtId="49" fontId="6" fillId="0" borderId="29" xfId="65" applyNumberFormat="1" applyFont="1" applyBorder="1" applyAlignment="1" applyProtection="1">
      <alignment horizontal="center" wrapText="1"/>
      <protection/>
    </xf>
    <xf numFmtId="49" fontId="6" fillId="0" borderId="27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20" xfId="64" applyNumberFormat="1" applyFont="1" applyFill="1" applyBorder="1" applyAlignment="1" applyProtection="1">
      <alignment vertical="center"/>
      <protection locked="0"/>
    </xf>
    <xf numFmtId="3" fontId="4" fillId="34" borderId="21" xfId="64" applyNumberFormat="1" applyFont="1" applyFill="1" applyBorder="1" applyAlignment="1" applyProtection="1">
      <alignment vertical="center"/>
      <protection locked="0"/>
    </xf>
    <xf numFmtId="3" fontId="4" fillId="34" borderId="23" xfId="64" applyNumberFormat="1" applyFont="1" applyFill="1" applyBorder="1" applyAlignment="1" applyProtection="1">
      <alignment vertical="center"/>
      <protection locked="0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2" xfId="64" applyNumberFormat="1" applyFont="1" applyFill="1" applyBorder="1" applyAlignment="1" applyProtection="1">
      <alignment vertical="top" wrapText="1"/>
      <protection/>
    </xf>
    <xf numFmtId="3" fontId="3" fillId="34" borderId="14" xfId="64" applyNumberFormat="1" applyFont="1" applyFill="1" applyBorder="1" applyAlignment="1" applyProtection="1">
      <alignment vertical="top"/>
      <protection locked="0"/>
    </xf>
    <xf numFmtId="3" fontId="3" fillId="34" borderId="20" xfId="64" applyNumberFormat="1" applyFont="1" applyFill="1" applyBorder="1" applyAlignment="1" applyProtection="1">
      <alignment vertical="top"/>
      <protection locked="0"/>
    </xf>
    <xf numFmtId="3" fontId="11" fillId="34" borderId="14" xfId="64" applyNumberFormat="1" applyFont="1" applyFill="1" applyBorder="1" applyAlignment="1" applyProtection="1">
      <alignment vertical="top"/>
      <protection locked="0"/>
    </xf>
    <xf numFmtId="3" fontId="11" fillId="34" borderId="20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4" xfId="64" applyFont="1" applyFill="1" applyBorder="1" applyAlignment="1" applyProtection="1">
      <alignment vertical="center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9" fillId="33" borderId="22" xfId="64" applyFont="1" applyFill="1" applyBorder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5" borderId="33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5" borderId="34" xfId="67" applyFont="1" applyFill="1" applyBorder="1" applyAlignment="1" applyProtection="1">
      <alignment horizontal="center" vertical="center" wrapText="1"/>
      <protection/>
    </xf>
    <xf numFmtId="0" fontId="3" fillId="35" borderId="35" xfId="67" applyFont="1" applyFill="1" applyBorder="1" applyAlignment="1" applyProtection="1">
      <alignment horizontal="centerContinuous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36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49" fontId="4" fillId="34" borderId="14" xfId="68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8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4" applyNumberFormat="1" applyFont="1" applyFill="1" applyBorder="1" applyAlignment="1" applyProtection="1">
      <alignment vertical="top"/>
      <protection locked="0"/>
    </xf>
    <xf numFmtId="3" fontId="3" fillId="34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0" fontId="68" fillId="37" borderId="37" xfId="68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8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0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32" xfId="64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0" xfId="64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0" xfId="64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1" xfId="66" applyNumberFormat="1" applyFont="1" applyBorder="1" applyAlignment="1" applyProtection="1">
      <alignment vertical="center"/>
      <protection/>
    </xf>
    <xf numFmtId="3" fontId="11" fillId="0" borderId="23" xfId="66" applyNumberFormat="1" applyFont="1" applyBorder="1" applyAlignment="1" applyProtection="1">
      <alignment vertical="center"/>
      <protection/>
    </xf>
    <xf numFmtId="3" fontId="3" fillId="34" borderId="20" xfId="64" applyNumberFormat="1" applyFont="1" applyFill="1" applyBorder="1" applyAlignment="1" applyProtection="1">
      <alignment vertical="center"/>
      <protection locked="0"/>
    </xf>
    <xf numFmtId="3" fontId="11" fillId="34" borderId="14" xfId="64" applyNumberFormat="1" applyFont="1" applyFill="1" applyBorder="1" applyAlignment="1" applyProtection="1">
      <alignment vertical="center"/>
      <protection locked="0"/>
    </xf>
    <xf numFmtId="3" fontId="11" fillId="34" borderId="20" xfId="64" applyNumberFormat="1" applyFont="1" applyFill="1" applyBorder="1" applyAlignment="1" applyProtection="1">
      <alignment vertical="center"/>
      <protection locked="0"/>
    </xf>
    <xf numFmtId="4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/>
    </xf>
    <xf numFmtId="3" fontId="4" fillId="0" borderId="29" xfId="65" applyNumberFormat="1" applyFont="1" applyFill="1" applyBorder="1" applyAlignment="1" applyProtection="1">
      <alignment wrapText="1"/>
      <protection/>
    </xf>
    <xf numFmtId="3" fontId="4" fillId="0" borderId="35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36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3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8" applyFont="1" applyBorder="1" applyAlignment="1" applyProtection="1">
      <alignment horizontal="centerContinuous" vertical="center" wrapText="1"/>
      <protection/>
    </xf>
    <xf numFmtId="0" fontId="4" fillId="0" borderId="43" xfId="68" applyFont="1" applyBorder="1" applyAlignment="1" applyProtection="1">
      <alignment horizontal="centerContinuous" vertical="center" wrapText="1"/>
      <protection/>
    </xf>
    <xf numFmtId="49" fontId="77" fillId="0" borderId="42" xfId="68" applyNumberFormat="1" applyFont="1" applyFill="1" applyBorder="1" applyAlignment="1" applyProtection="1">
      <alignment horizontal="centerContinuous"/>
      <protection/>
    </xf>
    <xf numFmtId="0" fontId="78" fillId="0" borderId="43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7" fillId="0" borderId="42" xfId="68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6" applyNumberFormat="1" applyFont="1" applyFill="1" applyBorder="1" applyAlignment="1" applyProtection="1">
      <alignment/>
      <protection locked="0"/>
    </xf>
    <xf numFmtId="49" fontId="79" fillId="34" borderId="11" xfId="56" applyNumberFormat="1" applyFont="1" applyFill="1" applyBorder="1" applyAlignment="1" applyProtection="1">
      <alignment/>
      <protection locked="0"/>
    </xf>
    <xf numFmtId="49" fontId="79" fillId="34" borderId="14" xfId="56" applyNumberFormat="1" applyFont="1" applyFill="1" applyBorder="1" applyAlignment="1" applyProtection="1">
      <alignment/>
      <protection locked="0"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72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4" applyFont="1" applyAlignment="1" applyProtection="1">
      <alignment vertical="top" wrapText="1"/>
      <protection locked="0"/>
    </xf>
    <xf numFmtId="172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31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46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49" fontId="3" fillId="0" borderId="45" xfId="67" applyNumberFormat="1" applyFont="1" applyBorder="1" applyAlignment="1" applyProtection="1">
      <alignment horizontal="center" vertical="center" wrapText="1"/>
      <protection/>
    </xf>
    <xf numFmtId="49" fontId="3" fillId="0" borderId="31" xfId="67" applyNumberFormat="1" applyFont="1" applyBorder="1" applyAlignment="1" applyProtection="1">
      <alignment horizontal="center" vertical="center" wrapText="1"/>
      <protection/>
    </xf>
    <xf numFmtId="49" fontId="3" fillId="0" borderId="29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14" xfId="64" applyNumberFormat="1" applyFont="1" applyFill="1" applyBorder="1" applyAlignment="1" applyProtection="1">
      <alignment vertical="center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5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43465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43494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"Оптима Одит" АД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43101</v>
      </c>
    </row>
    <row r="10" spans="1:2" ht="15.75">
      <c r="A10" s="7" t="s">
        <v>2</v>
      </c>
      <c r="B10" s="354">
        <v>43465</v>
      </c>
    </row>
    <row r="11" spans="1:2" ht="15.75">
      <c r="A11" s="7" t="s">
        <v>668</v>
      </c>
      <c r="B11" s="354">
        <v>43494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3" t="s">
        <v>682</v>
      </c>
    </row>
    <row r="15" spans="1:2" ht="15.75">
      <c r="A15" s="10" t="s">
        <v>660</v>
      </c>
      <c r="B15" s="355" t="s">
        <v>617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688</v>
      </c>
    </row>
    <row r="18" spans="1:2" ht="15.75">
      <c r="A18" s="7" t="s">
        <v>613</v>
      </c>
      <c r="B18" s="353" t="s">
        <v>684</v>
      </c>
    </row>
    <row r="19" spans="1:2" ht="15.75">
      <c r="A19" s="7" t="s">
        <v>4</v>
      </c>
      <c r="B19" s="353" t="s">
        <v>685</v>
      </c>
    </row>
    <row r="20" spans="1:2" ht="15.75">
      <c r="A20" s="7" t="s">
        <v>5</v>
      </c>
      <c r="B20" s="353" t="s">
        <v>685</v>
      </c>
    </row>
    <row r="21" spans="1:2" ht="15.75">
      <c r="A21" s="10" t="s">
        <v>6</v>
      </c>
      <c r="B21" s="355" t="s">
        <v>686</v>
      </c>
    </row>
    <row r="22" spans="1:2" ht="15.75">
      <c r="A22" s="10" t="s">
        <v>611</v>
      </c>
      <c r="B22" s="355"/>
    </row>
    <row r="23" spans="1:2" ht="15.75">
      <c r="A23" s="10" t="s">
        <v>7</v>
      </c>
      <c r="B23" s="465" t="s">
        <v>687</v>
      </c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5" t="s">
        <v>689</v>
      </c>
    </row>
    <row r="27" spans="1:2" ht="15.75">
      <c r="A27" s="10" t="s">
        <v>662</v>
      </c>
      <c r="B27" s="355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5">
      <selection activeCell="A87" sqref="A8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357</v>
      </c>
      <c r="D13" s="138">
        <v>383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6</v>
      </c>
      <c r="D14" s="138">
        <v>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</v>
      </c>
      <c r="D16" s="138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8">
        <v>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69" t="s">
        <v>47</v>
      </c>
      <c r="F18" s="268" t="s">
        <v>48</v>
      </c>
      <c r="G18" s="385">
        <f>G12+G15+G16+G17</f>
        <v>5</v>
      </c>
      <c r="H18" s="386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367</v>
      </c>
      <c r="D20" s="374">
        <f>SUM(D12:D19)</f>
        <v>404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0</v>
      </c>
      <c r="H22" s="390">
        <f>SUM(H23:H25)</f>
        <v>0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2" t="s">
        <v>77</v>
      </c>
      <c r="F26" s="82" t="s">
        <v>78</v>
      </c>
      <c r="G26" s="373">
        <f>G20+G21+G22</f>
        <v>0</v>
      </c>
      <c r="H26" s="374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0</v>
      </c>
      <c r="D28" s="374">
        <f>SUM(D24:D27)</f>
        <v>0</v>
      </c>
      <c r="E28" s="143" t="s">
        <v>84</v>
      </c>
      <c r="F28" s="80" t="s">
        <v>85</v>
      </c>
      <c r="G28" s="371">
        <f>SUM(G29:G31)</f>
        <v>352</v>
      </c>
      <c r="H28" s="372">
        <f>SUM(H29:H31)</f>
        <v>107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715</v>
      </c>
      <c r="H29" s="138">
        <v>470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>
        <v>-363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554</v>
      </c>
      <c r="H32" s="138">
        <v>245</v>
      </c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906</v>
      </c>
      <c r="H34" s="374">
        <f>H28+H32+H33</f>
        <v>352</v>
      </c>
    </row>
    <row r="35" spans="1:8" ht="15.75">
      <c r="A35" s="76" t="s">
        <v>106</v>
      </c>
      <c r="B35" s="81" t="s">
        <v>107</v>
      </c>
      <c r="C35" s="371">
        <f>SUM(C36:C39)</f>
        <v>10</v>
      </c>
      <c r="D35" s="372">
        <f>SUM(D36:D39)</f>
        <v>10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911</v>
      </c>
      <c r="H37" s="376">
        <f>H26+H18+H34</f>
        <v>357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10</v>
      </c>
      <c r="D46" s="374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1075</v>
      </c>
      <c r="H49" s="494">
        <v>873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1">
        <f>SUM(G44:G49)</f>
        <v>1075</v>
      </c>
      <c r="H50" s="372">
        <f>SUM(H44:H49)</f>
        <v>873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0</v>
      </c>
      <c r="D52" s="374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6">
        <v>21</v>
      </c>
      <c r="D55" s="267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398</v>
      </c>
      <c r="D56" s="378">
        <f>D20+D21+D22+D28+D33+D46+D52+D54+D55</f>
        <v>435</v>
      </c>
      <c r="E56" s="87" t="s">
        <v>557</v>
      </c>
      <c r="F56" s="86" t="s">
        <v>172</v>
      </c>
      <c r="G56" s="375">
        <f>G50+G52+G53+G54+G55</f>
        <v>1075</v>
      </c>
      <c r="H56" s="376">
        <f>H50+H52+H53+H54+H55</f>
        <v>873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725</v>
      </c>
      <c r="D59" s="138">
        <v>706</v>
      </c>
      <c r="E59" s="142" t="s">
        <v>180</v>
      </c>
      <c r="F59" s="274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360</v>
      </c>
      <c r="D61" s="138">
        <v>354</v>
      </c>
      <c r="E61" s="141" t="s">
        <v>188</v>
      </c>
      <c r="F61" s="80" t="s">
        <v>189</v>
      </c>
      <c r="G61" s="371">
        <f>SUM(G62:G68)</f>
        <v>4024</v>
      </c>
      <c r="H61" s="372">
        <f>SUM(H62:H68)</f>
        <v>3740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2557+208</f>
        <v>2765</v>
      </c>
      <c r="H62" s="495">
        <v>2702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495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420+144-52</f>
        <v>512</v>
      </c>
      <c r="H64" s="495">
        <v>369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1085</v>
      </c>
      <c r="D65" s="374">
        <f>SUM(D59:D64)</f>
        <v>1060</v>
      </c>
      <c r="E65" s="76" t="s">
        <v>201</v>
      </c>
      <c r="F65" s="80" t="s">
        <v>202</v>
      </c>
      <c r="G65" s="138">
        <v>52</v>
      </c>
      <c r="H65" s="495">
        <v>182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8</v>
      </c>
      <c r="H66" s="495"/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f>138+26+57+74</f>
        <v>295</v>
      </c>
      <c r="H67" s="495">
        <v>155</v>
      </c>
    </row>
    <row r="68" spans="1:8" ht="15.75">
      <c r="A68" s="76" t="s">
        <v>206</v>
      </c>
      <c r="B68" s="78" t="s">
        <v>207</v>
      </c>
      <c r="C68" s="138">
        <v>3063</v>
      </c>
      <c r="D68" s="138">
        <v>2784</v>
      </c>
      <c r="E68" s="76" t="s">
        <v>212</v>
      </c>
      <c r="F68" s="80" t="s">
        <v>213</v>
      </c>
      <c r="G68" s="138">
        <f>47+336+9</f>
        <v>392</v>
      </c>
      <c r="H68" s="495">
        <v>332</v>
      </c>
    </row>
    <row r="69" spans="1:8" ht="15.75">
      <c r="A69" s="76" t="s">
        <v>210</v>
      </c>
      <c r="B69" s="78" t="s">
        <v>211</v>
      </c>
      <c r="C69" s="138">
        <f>215+69+4</f>
        <v>288</v>
      </c>
      <c r="D69" s="138">
        <v>125</v>
      </c>
      <c r="E69" s="142" t="s">
        <v>79</v>
      </c>
      <c r="F69" s="80" t="s">
        <v>216</v>
      </c>
      <c r="G69" s="138">
        <f>198+100</f>
        <v>298</v>
      </c>
      <c r="H69" s="495">
        <v>293</v>
      </c>
    </row>
    <row r="70" spans="1:8" ht="15.75">
      <c r="A70" s="76" t="s">
        <v>214</v>
      </c>
      <c r="B70" s="78" t="s">
        <v>215</v>
      </c>
      <c r="C70" s="138">
        <v>130</v>
      </c>
      <c r="D70" s="138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4322</v>
      </c>
      <c r="H71" s="374">
        <f>H59+H60+H61+H69+H70</f>
        <v>4033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/>
      <c r="D73" s="138">
        <v>10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f>995+6+10</f>
        <v>1011</v>
      </c>
      <c r="D75" s="138">
        <v>693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4492</v>
      </c>
      <c r="D76" s="374">
        <f>SUM(D68:D75)</f>
        <v>3614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4322</v>
      </c>
      <c r="H79" s="376">
        <f>H71+H73+H75+H77</f>
        <v>4033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317</v>
      </c>
      <c r="D88" s="138">
        <v>135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16</v>
      </c>
      <c r="D89" s="138">
        <v>5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8">
        <v>14</v>
      </c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333</v>
      </c>
      <c r="D92" s="374">
        <f>SUM(D88:D91)</f>
        <v>154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/>
      <c r="D93" s="267"/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5910</v>
      </c>
      <c r="D94" s="378">
        <f>D65+D76+D85+D92+D93</f>
        <v>4828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6308</v>
      </c>
      <c r="D95" s="380">
        <f>D94+D56</f>
        <v>5263</v>
      </c>
      <c r="E95" s="169" t="s">
        <v>635</v>
      </c>
      <c r="F95" s="277" t="s">
        <v>268</v>
      </c>
      <c r="G95" s="379">
        <f>G37+G40+G56+G79</f>
        <v>6308</v>
      </c>
      <c r="H95" s="380">
        <f>H37+H40+H56+H79</f>
        <v>5263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70" t="s">
        <v>668</v>
      </c>
      <c r="B98" s="478">
        <f>pdeReportingDate</f>
        <v>43494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"Оптима Одит" АД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">
      <selection activeCell="D40" sqref="D40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307</v>
      </c>
      <c r="D12" s="497">
        <v>249</v>
      </c>
      <c r="E12" s="135" t="s">
        <v>277</v>
      </c>
      <c r="F12" s="180" t="s">
        <v>278</v>
      </c>
      <c r="G12" s="253">
        <v>351</v>
      </c>
      <c r="H12" s="498">
        <v>211</v>
      </c>
    </row>
    <row r="13" spans="1:8" ht="15.75">
      <c r="A13" s="135" t="s">
        <v>279</v>
      </c>
      <c r="B13" s="131" t="s">
        <v>280</v>
      </c>
      <c r="C13" s="253">
        <v>593</v>
      </c>
      <c r="D13" s="497">
        <v>1100</v>
      </c>
      <c r="E13" s="135" t="s">
        <v>281</v>
      </c>
      <c r="F13" s="180" t="s">
        <v>282</v>
      </c>
      <c r="G13" s="253">
        <v>37</v>
      </c>
      <c r="H13" s="498">
        <v>210</v>
      </c>
    </row>
    <row r="14" spans="1:8" ht="15.75">
      <c r="A14" s="135" t="s">
        <v>283</v>
      </c>
      <c r="B14" s="131" t="s">
        <v>284</v>
      </c>
      <c r="C14" s="253">
        <v>39</v>
      </c>
      <c r="D14" s="497">
        <v>63</v>
      </c>
      <c r="E14" s="185" t="s">
        <v>285</v>
      </c>
      <c r="F14" s="180" t="s">
        <v>286</v>
      </c>
      <c r="G14" s="253">
        <v>1638</v>
      </c>
      <c r="H14" s="498">
        <v>1608</v>
      </c>
    </row>
    <row r="15" spans="1:8" ht="15.75">
      <c r="A15" s="135" t="s">
        <v>287</v>
      </c>
      <c r="B15" s="131" t="s">
        <v>288</v>
      </c>
      <c r="C15" s="253">
        <v>249</v>
      </c>
      <c r="D15" s="497">
        <v>209</v>
      </c>
      <c r="E15" s="185" t="s">
        <v>79</v>
      </c>
      <c r="F15" s="180" t="s">
        <v>289</v>
      </c>
      <c r="G15" s="253">
        <v>22</v>
      </c>
      <c r="H15" s="498">
        <v>1542</v>
      </c>
    </row>
    <row r="16" spans="1:8" ht="15.75">
      <c r="A16" s="135" t="s">
        <v>290</v>
      </c>
      <c r="B16" s="131" t="s">
        <v>291</v>
      </c>
      <c r="C16" s="253">
        <v>50</v>
      </c>
      <c r="D16" s="497">
        <v>39</v>
      </c>
      <c r="E16" s="176" t="s">
        <v>52</v>
      </c>
      <c r="F16" s="204" t="s">
        <v>292</v>
      </c>
      <c r="G16" s="404">
        <f>SUM(G12:G15)</f>
        <v>2048</v>
      </c>
      <c r="H16" s="405">
        <f>SUM(H12:H15)</f>
        <v>3571</v>
      </c>
    </row>
    <row r="17" spans="1:8" ht="31.5">
      <c r="A17" s="135" t="s">
        <v>293</v>
      </c>
      <c r="B17" s="131" t="s">
        <v>294</v>
      </c>
      <c r="C17" s="253">
        <v>16</v>
      </c>
      <c r="D17" s="497">
        <v>169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207</v>
      </c>
      <c r="D18" s="497">
        <v>150</v>
      </c>
      <c r="E18" s="174" t="s">
        <v>297</v>
      </c>
      <c r="F18" s="178" t="s">
        <v>298</v>
      </c>
      <c r="G18" s="415"/>
      <c r="H18" s="416"/>
    </row>
    <row r="19" spans="1:8" ht="15.75">
      <c r="A19" s="135" t="s">
        <v>299</v>
      </c>
      <c r="B19" s="131" t="s">
        <v>300</v>
      </c>
      <c r="C19" s="253">
        <f>14+9</f>
        <v>23</v>
      </c>
      <c r="D19" s="497">
        <v>1153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1484</v>
      </c>
      <c r="D22" s="405">
        <f>SUM(D12:D18)+D19</f>
        <v>3132</v>
      </c>
      <c r="E22" s="135" t="s">
        <v>309</v>
      </c>
      <c r="F22" s="177" t="s">
        <v>310</v>
      </c>
      <c r="G22" s="253"/>
      <c r="H22" s="254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4"/>
    </row>
    <row r="25" spans="1:8" ht="31.5">
      <c r="A25" s="135" t="s">
        <v>316</v>
      </c>
      <c r="B25" s="177" t="s">
        <v>317</v>
      </c>
      <c r="C25" s="253">
        <v>1</v>
      </c>
      <c r="D25" s="496">
        <v>147</v>
      </c>
      <c r="E25" s="135" t="s">
        <v>318</v>
      </c>
      <c r="F25" s="177" t="s">
        <v>319</v>
      </c>
      <c r="G25" s="253"/>
      <c r="H25" s="254"/>
    </row>
    <row r="26" spans="1:8" ht="31.5">
      <c r="A26" s="135" t="s">
        <v>320</v>
      </c>
      <c r="B26" s="177" t="s">
        <v>321</v>
      </c>
      <c r="C26" s="253"/>
      <c r="D26" s="496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</v>
      </c>
      <c r="D27" s="496"/>
      <c r="E27" s="176" t="s">
        <v>104</v>
      </c>
      <c r="F27" s="178" t="s">
        <v>326</v>
      </c>
      <c r="G27" s="404">
        <f>SUM(G22:G26)</f>
        <v>0</v>
      </c>
      <c r="H27" s="405">
        <f>SUM(H22:H26)</f>
        <v>0</v>
      </c>
    </row>
    <row r="28" spans="1:8" ht="15.75">
      <c r="A28" s="135" t="s">
        <v>79</v>
      </c>
      <c r="B28" s="177" t="s">
        <v>327</v>
      </c>
      <c r="C28" s="253">
        <v>8</v>
      </c>
      <c r="D28" s="496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10</v>
      </c>
      <c r="D29" s="405">
        <f>SUM(D25:D28)</f>
        <v>155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1494</v>
      </c>
      <c r="D31" s="411">
        <f>D29+D22</f>
        <v>3287</v>
      </c>
      <c r="E31" s="191" t="s">
        <v>548</v>
      </c>
      <c r="F31" s="206" t="s">
        <v>331</v>
      </c>
      <c r="G31" s="193">
        <f>G16+G18+G27</f>
        <v>2048</v>
      </c>
      <c r="H31" s="194">
        <f>H16+H18+H27</f>
        <v>3571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554</v>
      </c>
      <c r="D33" s="184">
        <f>IF((H31-D31)&gt;0,H31-D31,0)</f>
        <v>284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1494</v>
      </c>
      <c r="D36" s="413">
        <f>D31-D34+D35</f>
        <v>3287</v>
      </c>
      <c r="E36" s="202" t="s">
        <v>346</v>
      </c>
      <c r="F36" s="196" t="s">
        <v>347</v>
      </c>
      <c r="G36" s="207">
        <f>G35-G34+G31</f>
        <v>2048</v>
      </c>
      <c r="H36" s="208">
        <f>H35-H34+H31</f>
        <v>3571</v>
      </c>
    </row>
    <row r="37" spans="1:8" ht="15.75">
      <c r="A37" s="201" t="s">
        <v>348</v>
      </c>
      <c r="B37" s="171" t="s">
        <v>349</v>
      </c>
      <c r="C37" s="410">
        <f>IF((G36-C36)&gt;0,G36-C36,0)</f>
        <v>554</v>
      </c>
      <c r="D37" s="411">
        <f>IF((H36-D36)&gt;0,H36-D36,0)</f>
        <v>284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0</v>
      </c>
      <c r="D38" s="405">
        <f>D39+D40+D41</f>
        <v>39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>
        <v>39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554</v>
      </c>
      <c r="D42" s="184">
        <f>+IF((H36-D36-D38)&gt;0,H36-D36-D38,0)</f>
        <v>245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554</v>
      </c>
      <c r="D44" s="208">
        <f>IF(H42=0,IF(D42-D43&gt;0,D42-D43+H43,0),IF(H42-H43&lt;0,H43-H42+D42,0))</f>
        <v>245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2048</v>
      </c>
      <c r="D45" s="407">
        <f>D36+D38+D42</f>
        <v>3571</v>
      </c>
      <c r="E45" s="210" t="s">
        <v>373</v>
      </c>
      <c r="F45" s="212" t="s">
        <v>374</v>
      </c>
      <c r="G45" s="406">
        <f>G42+G36</f>
        <v>2048</v>
      </c>
      <c r="H45" s="407">
        <f>H42+H36</f>
        <v>3571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1" t="s">
        <v>669</v>
      </c>
      <c r="B47" s="481"/>
      <c r="C47" s="481"/>
      <c r="D47" s="481"/>
      <c r="E47" s="481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70" t="s">
        <v>668</v>
      </c>
      <c r="B50" s="478">
        <f>pdeReportingDate</f>
        <v>43494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"Оптима Одит" АД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0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0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0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0"/>
      <c r="G58" s="41"/>
      <c r="H58" s="39"/>
    </row>
    <row r="59" spans="1:8" ht="15.75">
      <c r="A59" s="472"/>
      <c r="B59" s="477"/>
      <c r="C59" s="477"/>
      <c r="D59" s="477"/>
      <c r="E59" s="477"/>
      <c r="F59" s="350"/>
      <c r="G59" s="41"/>
      <c r="H59" s="39"/>
    </row>
    <row r="60" spans="1:8" ht="15.75">
      <c r="A60" s="472"/>
      <c r="B60" s="477"/>
      <c r="C60" s="477"/>
      <c r="D60" s="477"/>
      <c r="E60" s="477"/>
      <c r="F60" s="350"/>
      <c r="G60" s="41"/>
      <c r="H60" s="39"/>
    </row>
    <row r="61" spans="1:8" ht="15.75">
      <c r="A61" s="472"/>
      <c r="B61" s="477"/>
      <c r="C61" s="477"/>
      <c r="D61" s="477"/>
      <c r="E61" s="477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6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f>47+1698</f>
        <v>1745</v>
      </c>
      <c r="D11" s="138">
        <v>1559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-1084</v>
      </c>
      <c r="D12" s="138">
        <v>-1087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-351</v>
      </c>
      <c r="D14" s="138">
        <v>-442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-55-1</f>
        <v>-56</v>
      </c>
      <c r="D15" s="138">
        <v>-3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-6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-64-11</f>
        <v>-75</v>
      </c>
      <c r="D20" s="138">
        <v>-232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4">
        <f>SUM(C11:C20)</f>
        <v>179</v>
      </c>
      <c r="D21" s="435">
        <f>SUM(D11:D20)</f>
        <v>-211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4">
        <f>SUM(C23:C32)</f>
        <v>0</v>
      </c>
      <c r="D33" s="435">
        <f>SUM(D23:D32)</f>
        <v>-3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6">
        <f>SUM(C35:C42)</f>
        <v>0</v>
      </c>
      <c r="D43" s="437">
        <f>SUM(D35:D42)</f>
        <v>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179</v>
      </c>
      <c r="D44" s="245">
        <f>D43+D33+D21</f>
        <v>-214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154</v>
      </c>
      <c r="D45" s="246">
        <v>368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333</v>
      </c>
      <c r="D46" s="248">
        <f>D45+D44</f>
        <v>154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333</v>
      </c>
      <c r="D47" s="236">
        <v>140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/>
      <c r="D48" s="220">
        <v>14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43494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"Оптима Одит" АД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0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0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0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0"/>
      <c r="G62" s="41"/>
      <c r="H62" s="39"/>
    </row>
    <row r="63" spans="1:8" ht="15.75">
      <c r="A63" s="472"/>
      <c r="B63" s="477"/>
      <c r="C63" s="477"/>
      <c r="D63" s="477"/>
      <c r="E63" s="477"/>
      <c r="F63" s="350"/>
      <c r="G63" s="41"/>
      <c r="H63" s="39"/>
    </row>
    <row r="64" spans="1:8" ht="15.75">
      <c r="A64" s="472"/>
      <c r="B64" s="477"/>
      <c r="C64" s="477"/>
      <c r="D64" s="477"/>
      <c r="E64" s="477"/>
      <c r="F64" s="350"/>
      <c r="G64" s="41"/>
      <c r="H64" s="39"/>
    </row>
    <row r="65" spans="1:8" ht="15.75">
      <c r="A65" s="472"/>
      <c r="B65" s="477"/>
      <c r="C65" s="477"/>
      <c r="D65" s="477"/>
      <c r="E65" s="477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I18" sqref="I18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7" t="s">
        <v>453</v>
      </c>
      <c r="B8" s="490" t="s">
        <v>454</v>
      </c>
      <c r="C8" s="483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3" t="s">
        <v>460</v>
      </c>
      <c r="L8" s="483" t="s">
        <v>461</v>
      </c>
      <c r="M8" s="307"/>
      <c r="N8" s="308"/>
    </row>
    <row r="9" spans="1:14" s="309" customFormat="1" ht="31.5">
      <c r="A9" s="488"/>
      <c r="B9" s="491"/>
      <c r="C9" s="484"/>
      <c r="D9" s="486" t="s">
        <v>550</v>
      </c>
      <c r="E9" s="486" t="s">
        <v>456</v>
      </c>
      <c r="F9" s="311" t="s">
        <v>457</v>
      </c>
      <c r="G9" s="311"/>
      <c r="H9" s="311"/>
      <c r="I9" s="493" t="s">
        <v>458</v>
      </c>
      <c r="J9" s="493" t="s">
        <v>459</v>
      </c>
      <c r="K9" s="484"/>
      <c r="L9" s="484"/>
      <c r="M9" s="312" t="s">
        <v>549</v>
      </c>
      <c r="N9" s="308"/>
    </row>
    <row r="10" spans="1:14" s="309" customFormat="1" ht="31.5">
      <c r="A10" s="489"/>
      <c r="B10" s="492"/>
      <c r="C10" s="485"/>
      <c r="D10" s="486"/>
      <c r="E10" s="486"/>
      <c r="F10" s="310" t="s">
        <v>462</v>
      </c>
      <c r="G10" s="310" t="s">
        <v>463</v>
      </c>
      <c r="H10" s="310" t="s">
        <v>464</v>
      </c>
      <c r="I10" s="485"/>
      <c r="J10" s="485"/>
      <c r="K10" s="485"/>
      <c r="L10" s="485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5</v>
      </c>
      <c r="D13" s="360">
        <f>'1-Баланс'!H20</f>
        <v>0</v>
      </c>
      <c r="E13" s="360">
        <f>'1-Баланс'!H21</f>
        <v>0</v>
      </c>
      <c r="F13" s="360">
        <f>'1-Баланс'!H23</f>
        <v>0</v>
      </c>
      <c r="G13" s="360">
        <f>'1-Баланс'!H24</f>
        <v>0</v>
      </c>
      <c r="H13" s="361"/>
      <c r="I13" s="360">
        <f>'1-Баланс'!H29+'1-Баланс'!H32</f>
        <v>715</v>
      </c>
      <c r="J13" s="360">
        <f>'1-Баланс'!H30+'1-Баланс'!H33</f>
        <v>-363</v>
      </c>
      <c r="K13" s="361"/>
      <c r="L13" s="360">
        <f>SUM(C13:K13)</f>
        <v>357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9">
        <f>C13+C14</f>
        <v>5</v>
      </c>
      <c r="D17" s="429">
        <f aca="true" t="shared" si="2" ref="D17:M17">D13+D14</f>
        <v>0</v>
      </c>
      <c r="E17" s="429">
        <f t="shared" si="2"/>
        <v>0</v>
      </c>
      <c r="F17" s="429">
        <f t="shared" si="2"/>
        <v>0</v>
      </c>
      <c r="G17" s="429">
        <f t="shared" si="2"/>
        <v>0</v>
      </c>
      <c r="H17" s="429">
        <f t="shared" si="2"/>
        <v>0</v>
      </c>
      <c r="I17" s="429">
        <f t="shared" si="2"/>
        <v>715</v>
      </c>
      <c r="J17" s="429">
        <f t="shared" si="2"/>
        <v>-363</v>
      </c>
      <c r="K17" s="429">
        <f t="shared" si="2"/>
        <v>0</v>
      </c>
      <c r="L17" s="360">
        <f t="shared" si="1"/>
        <v>357</v>
      </c>
      <c r="M17" s="430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1"/>
      <c r="D18" s="431"/>
      <c r="E18" s="431"/>
      <c r="F18" s="431"/>
      <c r="G18" s="431"/>
      <c r="H18" s="431"/>
      <c r="I18" s="360">
        <f>+'1-Баланс'!G32</f>
        <v>554</v>
      </c>
      <c r="J18" s="360">
        <f>+'1-Баланс'!G33</f>
        <v>0</v>
      </c>
      <c r="K18" s="361"/>
      <c r="L18" s="360">
        <f t="shared" si="1"/>
        <v>554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9">
        <f>C19+C22+C23+C26+C30+C29+C17+C18</f>
        <v>5</v>
      </c>
      <c r="D31" s="429">
        <f aca="true" t="shared" si="6" ref="D31:M31">D19+D22+D23+D26+D30+D29+D17+D18</f>
        <v>0</v>
      </c>
      <c r="E31" s="429">
        <f t="shared" si="6"/>
        <v>0</v>
      </c>
      <c r="F31" s="429">
        <f t="shared" si="6"/>
        <v>0</v>
      </c>
      <c r="G31" s="429">
        <f t="shared" si="6"/>
        <v>0</v>
      </c>
      <c r="H31" s="429">
        <f t="shared" si="6"/>
        <v>0</v>
      </c>
      <c r="I31" s="429">
        <f t="shared" si="6"/>
        <v>1269</v>
      </c>
      <c r="J31" s="429">
        <f t="shared" si="6"/>
        <v>-363</v>
      </c>
      <c r="K31" s="429">
        <f t="shared" si="6"/>
        <v>0</v>
      </c>
      <c r="L31" s="360">
        <f t="shared" si="1"/>
        <v>911</v>
      </c>
      <c r="M31" s="430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8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5</v>
      </c>
      <c r="D34" s="363">
        <f t="shared" si="7"/>
        <v>0</v>
      </c>
      <c r="E34" s="363">
        <f t="shared" si="7"/>
        <v>0</v>
      </c>
      <c r="F34" s="363">
        <f t="shared" si="7"/>
        <v>0</v>
      </c>
      <c r="G34" s="363">
        <f t="shared" si="7"/>
        <v>0</v>
      </c>
      <c r="H34" s="363">
        <f t="shared" si="7"/>
        <v>0</v>
      </c>
      <c r="I34" s="363">
        <f t="shared" si="7"/>
        <v>1269</v>
      </c>
      <c r="J34" s="363">
        <f t="shared" si="7"/>
        <v>-363</v>
      </c>
      <c r="K34" s="363">
        <f t="shared" si="7"/>
        <v>0</v>
      </c>
      <c r="L34" s="427">
        <f t="shared" si="1"/>
        <v>911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70" t="s">
        <v>668</v>
      </c>
      <c r="B38" s="478">
        <f>pdeReportingDate</f>
        <v>43494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"Оптима Одит" АД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0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0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0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0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0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0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5" t="s">
        <v>690</v>
      </c>
      <c r="B12" s="456"/>
      <c r="C12" s="79">
        <v>10</v>
      </c>
      <c r="D12" s="79">
        <v>100</v>
      </c>
      <c r="E12" s="79"/>
      <c r="F12" s="257">
        <f>C12-E12</f>
        <v>10</v>
      </c>
    </row>
    <row r="13" spans="1:6" ht="15.75">
      <c r="A13" s="455">
        <v>2</v>
      </c>
      <c r="B13" s="456"/>
      <c r="C13" s="79"/>
      <c r="D13" s="79"/>
      <c r="E13" s="79"/>
      <c r="F13" s="257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7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7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7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7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7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7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7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7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7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7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7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7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10</v>
      </c>
      <c r="D27" s="260"/>
      <c r="E27" s="260">
        <f>SUM(E12:E26)</f>
        <v>0</v>
      </c>
      <c r="F27" s="260">
        <f>SUM(F12:F26)</f>
        <v>10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5">
        <v>1</v>
      </c>
      <c r="B29" s="456"/>
      <c r="C29" s="79"/>
      <c r="D29" s="79"/>
      <c r="E29" s="79"/>
      <c r="F29" s="257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7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7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7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7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7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7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7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7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7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7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7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7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7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5">
        <v>1</v>
      </c>
      <c r="B46" s="456"/>
      <c r="C46" s="79"/>
      <c r="D46" s="79"/>
      <c r="E46" s="79"/>
      <c r="F46" s="257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7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7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7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7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7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7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7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7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7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7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7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7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7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5">
        <v>1</v>
      </c>
      <c r="B63" s="456"/>
      <c r="C63" s="79"/>
      <c r="D63" s="79"/>
      <c r="E63" s="79"/>
      <c r="F63" s="257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7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7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7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7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7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7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7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7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7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7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7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7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7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0</v>
      </c>
      <c r="D78" s="260"/>
      <c r="E78" s="260">
        <f>SUM(E63:E77)</f>
        <v>0</v>
      </c>
      <c r="F78" s="260">
        <f>SUM(F63:F77)</f>
        <v>0</v>
      </c>
    </row>
    <row r="79" spans="1:6" ht="15.75">
      <c r="A79" s="297" t="s">
        <v>527</v>
      </c>
      <c r="B79" s="294" t="s">
        <v>528</v>
      </c>
      <c r="C79" s="260">
        <f>C78+C61+C44+C27</f>
        <v>10</v>
      </c>
      <c r="D79" s="260"/>
      <c r="E79" s="260">
        <f>E78+E61+E44+E27</f>
        <v>0</v>
      </c>
      <c r="F79" s="260">
        <f>F78+F61+F44+F27</f>
        <v>10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5">
        <v>1</v>
      </c>
      <c r="B82" s="456"/>
      <c r="C82" s="79"/>
      <c r="D82" s="79"/>
      <c r="E82" s="79"/>
      <c r="F82" s="257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7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7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7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7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7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7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7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7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7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7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7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7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7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0</v>
      </c>
      <c r="D97" s="260"/>
      <c r="E97" s="260">
        <f>SUM(E82:E96)</f>
        <v>0</v>
      </c>
      <c r="F97" s="260">
        <f>SUM(F82:F96)</f>
        <v>0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5">
        <v>1</v>
      </c>
      <c r="B99" s="456"/>
      <c r="C99" s="79"/>
      <c r="D99" s="79"/>
      <c r="E99" s="79"/>
      <c r="F99" s="257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7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7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7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7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7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7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7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7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7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7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7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7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5">
        <v>1</v>
      </c>
      <c r="B116" s="456"/>
      <c r="C116" s="79"/>
      <c r="D116" s="79"/>
      <c r="E116" s="79"/>
      <c r="F116" s="257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7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7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7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7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7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7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7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7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7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7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7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7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5">
        <v>1</v>
      </c>
      <c r="B133" s="456"/>
      <c r="C133" s="79"/>
      <c r="D133" s="79"/>
      <c r="E133" s="79"/>
      <c r="F133" s="257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7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7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7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7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7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7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7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7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7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7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7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7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0</v>
      </c>
      <c r="D149" s="260"/>
      <c r="E149" s="260">
        <f>E148+E131+E114+E97</f>
        <v>0</v>
      </c>
      <c r="F149" s="260">
        <f>F148+F131+F114+F97</f>
        <v>0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70" t="s">
        <v>668</v>
      </c>
      <c r="B151" s="478">
        <f>pdeReportingDate</f>
        <v>43494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"Оптима Одит" АД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0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0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0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0"/>
      <c r="G159" s="41"/>
      <c r="H159" s="39"/>
    </row>
    <row r="160" spans="1:8" ht="15.75">
      <c r="A160" s="472"/>
      <c r="B160" s="477"/>
      <c r="C160" s="477"/>
      <c r="D160" s="477"/>
      <c r="E160" s="477"/>
      <c r="F160" s="350"/>
      <c r="G160" s="41"/>
      <c r="H160" s="39"/>
    </row>
    <row r="161" spans="1:8" ht="15.75">
      <c r="A161" s="472"/>
      <c r="B161" s="477"/>
      <c r="C161" s="477"/>
      <c r="D161" s="477"/>
      <c r="E161" s="477"/>
      <c r="F161" s="350"/>
      <c r="G161" s="41"/>
      <c r="H161" s="39"/>
    </row>
    <row r="162" spans="1:8" ht="15.75">
      <c r="A162" s="472"/>
      <c r="B162" s="477"/>
      <c r="C162" s="477"/>
      <c r="D162" s="477"/>
      <c r="E162" s="477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01.01.2018 г. до 31.12.2018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6308</v>
      </c>
      <c r="D6" s="451">
        <f aca="true" t="shared" si="0" ref="D6:D15">C6-E6</f>
        <v>0</v>
      </c>
      <c r="E6" s="450">
        <f>'1-Баланс'!G95</f>
        <v>6308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911</v>
      </c>
      <c r="D7" s="451">
        <f t="shared" si="0"/>
        <v>906</v>
      </c>
      <c r="E7" s="450">
        <f>'1-Баланс'!G18</f>
        <v>5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554</v>
      </c>
      <c r="D8" s="451">
        <f t="shared" si="0"/>
        <v>0</v>
      </c>
      <c r="E8" s="450">
        <f>ABS('2-Отчет за доходите'!C44)-ABS('2-Отчет за доходите'!G44)</f>
        <v>554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154</v>
      </c>
      <c r="D9" s="451">
        <f t="shared" si="0"/>
        <v>0</v>
      </c>
      <c r="E9" s="450">
        <f>'3-Отчет за паричния поток'!C45</f>
        <v>154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333</v>
      </c>
      <c r="D10" s="451">
        <f t="shared" si="0"/>
        <v>0</v>
      </c>
      <c r="E10" s="450">
        <f>'3-Отчет за паричния поток'!C46</f>
        <v>333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911</v>
      </c>
      <c r="D11" s="451">
        <f t="shared" si="0"/>
        <v>0</v>
      </c>
      <c r="E11" s="450">
        <f>'4-Отчет за собствения капитал'!L34</f>
        <v>911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10</v>
      </c>
      <c r="D12" s="451">
        <f t="shared" si="0"/>
        <v>0</v>
      </c>
      <c r="E12" s="450">
        <f>'Справка 5'!C27+'Справка 5'!C97</f>
        <v>10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8">
        <v>1</v>
      </c>
      <c r="B3" s="366" t="s">
        <v>579</v>
      </c>
      <c r="C3" s="367" t="s">
        <v>578</v>
      </c>
      <c r="D3" s="418">
        <f>(ABS('1-Баланс'!G32)-ABS('1-Баланс'!G33))/'2-Отчет за доходите'!G16</f>
        <v>0.2705078125</v>
      </c>
      <c r="E3" s="422"/>
    </row>
    <row r="4" spans="1:4" ht="31.5">
      <c r="A4" s="368">
        <v>2</v>
      </c>
      <c r="B4" s="366" t="s">
        <v>605</v>
      </c>
      <c r="C4" s="367" t="s">
        <v>582</v>
      </c>
      <c r="D4" s="418">
        <f>(ABS('1-Баланс'!G32)-ABS('1-Баланс'!G33))/'1-Баланс'!G37</f>
        <v>0.6081229418221734</v>
      </c>
    </row>
    <row r="5" spans="1:4" ht="31.5">
      <c r="A5" s="368">
        <v>3</v>
      </c>
      <c r="B5" s="366" t="s">
        <v>583</v>
      </c>
      <c r="C5" s="367" t="s">
        <v>584</v>
      </c>
      <c r="D5" s="418">
        <f>(ABS('1-Баланс'!G32)-ABS('1-Баланс'!G33))/('1-Баланс'!G56+'1-Баланс'!G79)</f>
        <v>0.10264962015934778</v>
      </c>
    </row>
    <row r="6" spans="1:4" ht="31.5">
      <c r="A6" s="368">
        <v>4</v>
      </c>
      <c r="B6" s="366" t="s">
        <v>606</v>
      </c>
      <c r="C6" s="367" t="s">
        <v>585</v>
      </c>
      <c r="D6" s="418">
        <f>(ABS('1-Баланс'!G32)-ABS('1-Баланс'!G33))/('1-Баланс'!C95)</f>
        <v>0.08782498414711477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8">
        <v>5</v>
      </c>
      <c r="B8" s="366" t="s">
        <v>587</v>
      </c>
      <c r="C8" s="367" t="s">
        <v>588</v>
      </c>
      <c r="D8" s="417">
        <f>'2-Отчет за доходите'!G36/'2-Отчет за доходите'!C36</f>
        <v>1.3708165997322623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8">
        <v>6</v>
      </c>
      <c r="B10" s="366" t="s">
        <v>590</v>
      </c>
      <c r="C10" s="367" t="s">
        <v>591</v>
      </c>
      <c r="D10" s="417">
        <f>'1-Баланс'!C94/'1-Баланс'!G79</f>
        <v>1.3674224895881537</v>
      </c>
    </row>
    <row r="11" spans="1:4" ht="63">
      <c r="A11" s="368">
        <v>7</v>
      </c>
      <c r="B11" s="366" t="s">
        <v>592</v>
      </c>
      <c r="C11" s="367" t="s">
        <v>657</v>
      </c>
      <c r="D11" s="417">
        <f>('1-Баланс'!C76+'1-Баланс'!C85+'1-Баланс'!C92)/'1-Баланс'!G79</f>
        <v>1.1163813049514113</v>
      </c>
    </row>
    <row r="12" spans="1:4" ht="47.25">
      <c r="A12" s="368">
        <v>8</v>
      </c>
      <c r="B12" s="366" t="s">
        <v>593</v>
      </c>
      <c r="C12" s="367" t="s">
        <v>658</v>
      </c>
      <c r="D12" s="417">
        <f>('1-Баланс'!C85+'1-Баланс'!C92)/'1-Баланс'!G79</f>
        <v>0.07704766311892643</v>
      </c>
    </row>
    <row r="13" spans="1:4" ht="31.5">
      <c r="A13" s="368">
        <v>9</v>
      </c>
      <c r="B13" s="366" t="s">
        <v>594</v>
      </c>
      <c r="C13" s="367" t="s">
        <v>595</v>
      </c>
      <c r="D13" s="417">
        <f>'1-Баланс'!C92/'1-Баланс'!G79</f>
        <v>0.07704766311892643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8">
        <v>10</v>
      </c>
      <c r="B15" s="366" t="s">
        <v>610</v>
      </c>
      <c r="C15" s="367" t="s">
        <v>597</v>
      </c>
      <c r="D15" s="417">
        <f>'2-Отчет за доходите'!G16/('1-Баланс'!C20+'1-Баланс'!C21+'1-Баланс'!C22+'1-Баланс'!C28+'1-Баланс'!C65)</f>
        <v>1.4104683195592287</v>
      </c>
    </row>
    <row r="16" spans="1:4" ht="31.5">
      <c r="A16" s="424">
        <v>11</v>
      </c>
      <c r="B16" s="366" t="s">
        <v>596</v>
      </c>
      <c r="C16" s="367" t="s">
        <v>609</v>
      </c>
      <c r="D16" s="425">
        <f>'2-Отчет за доходите'!G16/('1-Баланс'!C95)</f>
        <v>0.32466708941027267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8">
        <v>12</v>
      </c>
      <c r="B18" s="366" t="s">
        <v>625</v>
      </c>
      <c r="C18" s="367" t="s">
        <v>598</v>
      </c>
      <c r="D18" s="417">
        <f>'1-Баланс'!G56/('1-Баланс'!G37+'1-Баланс'!G56)</f>
        <v>0.5412890231621349</v>
      </c>
    </row>
    <row r="19" spans="1:4" ht="31.5">
      <c r="A19" s="368">
        <v>13</v>
      </c>
      <c r="B19" s="366" t="s">
        <v>626</v>
      </c>
      <c r="C19" s="367" t="s">
        <v>600</v>
      </c>
      <c r="D19" s="417">
        <f>D4/D5</f>
        <v>5.924259055982437</v>
      </c>
    </row>
    <row r="20" spans="1:4" ht="31.5">
      <c r="A20" s="368">
        <v>14</v>
      </c>
      <c r="B20" s="366" t="s">
        <v>601</v>
      </c>
      <c r="C20" s="367" t="s">
        <v>602</v>
      </c>
      <c r="D20" s="417">
        <f>D6/D5</f>
        <v>0.8555802155992391</v>
      </c>
    </row>
    <row r="21" spans="1:5" ht="15.75">
      <c r="A21" s="368">
        <v>15</v>
      </c>
      <c r="B21" s="366" t="s">
        <v>603</v>
      </c>
      <c r="C21" s="367" t="s">
        <v>604</v>
      </c>
      <c r="D21" s="454">
        <f>'2-Отчет за доходите'!C37+'2-Отчет за доходите'!C25</f>
        <v>555</v>
      </c>
      <c r="E21" s="474"/>
    </row>
    <row r="22" spans="1:4" ht="47.25">
      <c r="A22" s="368">
        <v>16</v>
      </c>
      <c r="B22" s="366" t="s">
        <v>607</v>
      </c>
      <c r="C22" s="367" t="s">
        <v>608</v>
      </c>
      <c r="D22" s="423">
        <f>D21/'1-Баланс'!G37</f>
        <v>0.6092206366630076</v>
      </c>
    </row>
    <row r="23" spans="1:4" ht="31.5">
      <c r="A23" s="368">
        <v>17</v>
      </c>
      <c r="B23" s="366" t="s">
        <v>671</v>
      </c>
      <c r="C23" s="367" t="s">
        <v>672</v>
      </c>
      <c r="D23" s="423">
        <f>(D21+'2-Отчет за доходите'!C14)/'2-Отчет за доходите'!G31</f>
        <v>0.2900390625</v>
      </c>
    </row>
    <row r="24" spans="1:4" ht="31.5">
      <c r="A24" s="368">
        <v>18</v>
      </c>
      <c r="B24" s="366" t="s">
        <v>673</v>
      </c>
      <c r="C24" s="367" t="s">
        <v>674</v>
      </c>
      <c r="D24" s="423">
        <f>('1-Баланс'!G56+'1-Баланс'!G79)/(D21+'2-Отчет за доходите'!C14)</f>
        <v>9.085858585858587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57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57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357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57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57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57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57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57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57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57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367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57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57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57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57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57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57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57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57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57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57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57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57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57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57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57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57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57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57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57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57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57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57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57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57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57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57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57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57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57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57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398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57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725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57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57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360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57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57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57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57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1085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57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3063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57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288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57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130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57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57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57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57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57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1011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57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4492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57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57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57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57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57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57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57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57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317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57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57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57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57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333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57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57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5910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57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6308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57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57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57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57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57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57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57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57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57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57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57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57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57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57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57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352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57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715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57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-363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57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57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554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57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57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906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57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911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57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57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57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57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57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57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57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1075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57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1075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57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57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57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57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57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1075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57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57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57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4024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57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2765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57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57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512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57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52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57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57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295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57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392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57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298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57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57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4322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57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57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57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57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4322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57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6308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57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307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57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593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57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39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57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249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57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50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57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16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57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207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57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23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57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57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57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1484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57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1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57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57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57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8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57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10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57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1494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57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554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57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57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57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1494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57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554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57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57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57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57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57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554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57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57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554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57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2048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57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351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57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37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57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1638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57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22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57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2048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57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57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57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57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57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57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57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57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57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2048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57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57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57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57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2048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57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57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57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57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57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2048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57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1745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57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-1084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57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57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-351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57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-56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57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57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57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57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0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57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-75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57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179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57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57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57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57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57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57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57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57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57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57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57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57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57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57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57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57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57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57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57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57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57">
        <f t="shared" si="20"/>
        <v>43465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179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57">
        <f t="shared" si="20"/>
        <v>43465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154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57">
        <f t="shared" si="20"/>
        <v>43465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333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57">
        <f t="shared" si="20"/>
        <v>43465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333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57">
        <f t="shared" si="20"/>
        <v>43465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0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57">
        <f aca="true" t="shared" si="23" ref="C218:C281">endDate</f>
        <v>43465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57">
        <f t="shared" si="23"/>
        <v>43465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57">
        <f t="shared" si="23"/>
        <v>43465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57">
        <f t="shared" si="23"/>
        <v>43465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57">
        <f t="shared" si="23"/>
        <v>43465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57">
        <f t="shared" si="23"/>
        <v>43465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57">
        <f t="shared" si="23"/>
        <v>43465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57">
        <f t="shared" si="23"/>
        <v>43465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57">
        <f t="shared" si="23"/>
        <v>43465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57">
        <f t="shared" si="23"/>
        <v>43465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57">
        <f t="shared" si="23"/>
        <v>43465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57">
        <f t="shared" si="23"/>
        <v>43465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57">
        <f t="shared" si="23"/>
        <v>43465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57">
        <f t="shared" si="23"/>
        <v>43465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57">
        <f t="shared" si="23"/>
        <v>43465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57">
        <f t="shared" si="23"/>
        <v>43465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57">
        <f t="shared" si="23"/>
        <v>43465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57">
        <f t="shared" si="23"/>
        <v>43465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57">
        <f t="shared" si="23"/>
        <v>43465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57">
        <f t="shared" si="23"/>
        <v>43465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57">
        <f t="shared" si="23"/>
        <v>43465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57">
        <f t="shared" si="23"/>
        <v>43465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57">
        <f t="shared" si="23"/>
        <v>43465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57">
        <f t="shared" si="23"/>
        <v>43465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57">
        <f t="shared" si="23"/>
        <v>43465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57">
        <f t="shared" si="23"/>
        <v>43465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57">
        <f t="shared" si="23"/>
        <v>43465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57">
        <f t="shared" si="23"/>
        <v>43465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57">
        <f t="shared" si="23"/>
        <v>43465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57">
        <f t="shared" si="23"/>
        <v>43465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57">
        <f t="shared" si="23"/>
        <v>43465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57">
        <f t="shared" si="23"/>
        <v>43465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57">
        <f t="shared" si="23"/>
        <v>43465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57">
        <f t="shared" si="23"/>
        <v>43465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57">
        <f t="shared" si="23"/>
        <v>43465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57">
        <f t="shared" si="23"/>
        <v>43465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57">
        <f t="shared" si="23"/>
        <v>43465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57">
        <f t="shared" si="23"/>
        <v>43465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57">
        <f t="shared" si="23"/>
        <v>43465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57">
        <f t="shared" si="23"/>
        <v>43465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57">
        <f t="shared" si="23"/>
        <v>43465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57">
        <f t="shared" si="23"/>
        <v>43465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57">
        <f t="shared" si="23"/>
        <v>43465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57">
        <f t="shared" si="23"/>
        <v>43465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57">
        <f t="shared" si="23"/>
        <v>43465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57">
        <f t="shared" si="23"/>
        <v>43465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57">
        <f t="shared" si="23"/>
        <v>43465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57">
        <f t="shared" si="23"/>
        <v>43465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57">
        <f t="shared" si="23"/>
        <v>43465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57">
        <f t="shared" si="23"/>
        <v>43465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57">
        <f t="shared" si="23"/>
        <v>43465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57">
        <f t="shared" si="23"/>
        <v>43465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57">
        <f t="shared" si="23"/>
        <v>43465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57">
        <f t="shared" si="23"/>
        <v>43465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57">
        <f t="shared" si="23"/>
        <v>43465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57">
        <f t="shared" si="23"/>
        <v>43465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57">
        <f t="shared" si="23"/>
        <v>43465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57">
        <f t="shared" si="23"/>
        <v>43465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57">
        <f t="shared" si="23"/>
        <v>43465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57">
        <f t="shared" si="23"/>
        <v>43465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57">
        <f t="shared" si="23"/>
        <v>43465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57">
        <f t="shared" si="23"/>
        <v>43465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57">
        <f t="shared" si="23"/>
        <v>43465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57">
        <f t="shared" si="23"/>
        <v>43465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57">
        <f aca="true" t="shared" si="26" ref="C282:C345">endDate</f>
        <v>43465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57">
        <f t="shared" si="26"/>
        <v>43465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57">
        <f t="shared" si="26"/>
        <v>43465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57">
        <f t="shared" si="26"/>
        <v>43465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57">
        <f t="shared" si="26"/>
        <v>43465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57">
        <f t="shared" si="26"/>
        <v>43465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57">
        <f t="shared" si="26"/>
        <v>43465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57">
        <f t="shared" si="26"/>
        <v>43465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57">
        <f t="shared" si="26"/>
        <v>43465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57">
        <f t="shared" si="26"/>
        <v>43465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57">
        <f t="shared" si="26"/>
        <v>43465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57">
        <f t="shared" si="26"/>
        <v>43465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57">
        <f t="shared" si="26"/>
        <v>43465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57">
        <f t="shared" si="26"/>
        <v>43465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57">
        <f t="shared" si="26"/>
        <v>43465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57">
        <f t="shared" si="26"/>
        <v>43465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57">
        <f t="shared" si="26"/>
        <v>43465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57">
        <f t="shared" si="26"/>
        <v>43465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57">
        <f t="shared" si="26"/>
        <v>43465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57">
        <f t="shared" si="26"/>
        <v>43465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57">
        <f t="shared" si="26"/>
        <v>43465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57">
        <f t="shared" si="26"/>
        <v>43465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57">
        <f t="shared" si="26"/>
        <v>43465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57">
        <f t="shared" si="26"/>
        <v>43465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57">
        <f t="shared" si="26"/>
        <v>43465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57">
        <f t="shared" si="26"/>
        <v>43465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57">
        <f t="shared" si="26"/>
        <v>43465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57">
        <f t="shared" si="26"/>
        <v>43465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57">
        <f t="shared" si="26"/>
        <v>43465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57">
        <f t="shared" si="26"/>
        <v>43465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57">
        <f t="shared" si="26"/>
        <v>43465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57">
        <f t="shared" si="26"/>
        <v>43465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57">
        <f t="shared" si="26"/>
        <v>43465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57">
        <f t="shared" si="26"/>
        <v>43465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57">
        <f t="shared" si="26"/>
        <v>43465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57">
        <f t="shared" si="26"/>
        <v>43465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57">
        <f t="shared" si="26"/>
        <v>43465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57">
        <f t="shared" si="26"/>
        <v>43465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57">
        <f t="shared" si="26"/>
        <v>43465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57">
        <f t="shared" si="26"/>
        <v>43465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57">
        <f t="shared" si="26"/>
        <v>43465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57">
        <f t="shared" si="26"/>
        <v>43465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57">
        <f t="shared" si="26"/>
        <v>43465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57">
        <f t="shared" si="26"/>
        <v>43465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57">
        <f t="shared" si="26"/>
        <v>43465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57">
        <f t="shared" si="26"/>
        <v>43465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57">
        <f t="shared" si="26"/>
        <v>43465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57">
        <f t="shared" si="26"/>
        <v>43465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57">
        <f t="shared" si="26"/>
        <v>43465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57">
        <f t="shared" si="26"/>
        <v>43465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57">
        <f t="shared" si="26"/>
        <v>43465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57">
        <f t="shared" si="26"/>
        <v>43465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57">
        <f t="shared" si="26"/>
        <v>43465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57">
        <f t="shared" si="26"/>
        <v>43465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57">
        <f t="shared" si="26"/>
        <v>43465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57">
        <f t="shared" si="26"/>
        <v>43465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57">
        <f t="shared" si="26"/>
        <v>43465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57">
        <f t="shared" si="26"/>
        <v>43465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57">
        <f t="shared" si="26"/>
        <v>43465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57">
        <f t="shared" si="26"/>
        <v>43465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57">
        <f t="shared" si="26"/>
        <v>43465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57">
        <f t="shared" si="26"/>
        <v>43465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57">
        <f t="shared" si="26"/>
        <v>43465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57">
        <f t="shared" si="26"/>
        <v>43465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57">
        <f aca="true" t="shared" si="29" ref="C346:C409">endDate</f>
        <v>43465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57">
        <f t="shared" si="29"/>
        <v>43465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57">
        <f t="shared" si="29"/>
        <v>43465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57">
        <f t="shared" si="29"/>
        <v>43465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57">
        <f t="shared" si="29"/>
        <v>43465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715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57">
        <f t="shared" si="29"/>
        <v>43465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57">
        <f t="shared" si="29"/>
        <v>43465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57">
        <f t="shared" si="29"/>
        <v>43465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57">
        <f t="shared" si="29"/>
        <v>43465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715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57">
        <f t="shared" si="29"/>
        <v>43465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554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57">
        <f t="shared" si="29"/>
        <v>43465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57">
        <f t="shared" si="29"/>
        <v>43465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57">
        <f t="shared" si="29"/>
        <v>43465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57">
        <f t="shared" si="29"/>
        <v>43465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57">
        <f t="shared" si="29"/>
        <v>43465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57">
        <f t="shared" si="29"/>
        <v>43465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57">
        <f t="shared" si="29"/>
        <v>43465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57">
        <f t="shared" si="29"/>
        <v>43465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57">
        <f t="shared" si="29"/>
        <v>43465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57">
        <f t="shared" si="29"/>
        <v>43465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57">
        <f t="shared" si="29"/>
        <v>43465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57">
        <f t="shared" si="29"/>
        <v>43465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57">
        <f t="shared" si="29"/>
        <v>43465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1269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57">
        <f t="shared" si="29"/>
        <v>43465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57">
        <f t="shared" si="29"/>
        <v>43465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57">
        <f t="shared" si="29"/>
        <v>43465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1269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57">
        <f t="shared" si="29"/>
        <v>43465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-363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57">
        <f t="shared" si="29"/>
        <v>43465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57">
        <f t="shared" si="29"/>
        <v>43465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57">
        <f t="shared" si="29"/>
        <v>43465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57">
        <f t="shared" si="29"/>
        <v>43465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-363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57">
        <f t="shared" si="29"/>
        <v>43465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57">
        <f t="shared" si="29"/>
        <v>43465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57">
        <f t="shared" si="29"/>
        <v>43465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57">
        <f t="shared" si="29"/>
        <v>43465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57">
        <f t="shared" si="29"/>
        <v>43465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57">
        <f t="shared" si="29"/>
        <v>43465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57">
        <f t="shared" si="29"/>
        <v>43465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57">
        <f t="shared" si="29"/>
        <v>43465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57">
        <f t="shared" si="29"/>
        <v>43465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57">
        <f t="shared" si="29"/>
        <v>43465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57">
        <f t="shared" si="29"/>
        <v>43465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57">
        <f t="shared" si="29"/>
        <v>43465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57">
        <f t="shared" si="29"/>
        <v>43465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57">
        <f t="shared" si="29"/>
        <v>43465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-363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57">
        <f t="shared" si="29"/>
        <v>43465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57">
        <f t="shared" si="29"/>
        <v>43465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57">
        <f t="shared" si="29"/>
        <v>43465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-363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57">
        <f t="shared" si="29"/>
        <v>43465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57">
        <f t="shared" si="29"/>
        <v>43465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57">
        <f t="shared" si="29"/>
        <v>43465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57">
        <f t="shared" si="29"/>
        <v>43465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57">
        <f t="shared" si="29"/>
        <v>43465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57">
        <f t="shared" si="29"/>
        <v>43465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57">
        <f t="shared" si="29"/>
        <v>43465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57">
        <f t="shared" si="29"/>
        <v>43465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57">
        <f t="shared" si="29"/>
        <v>43465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57">
        <f t="shared" si="29"/>
        <v>43465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57">
        <f t="shared" si="29"/>
        <v>43465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57">
        <f t="shared" si="29"/>
        <v>43465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57">
        <f t="shared" si="29"/>
        <v>43465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57">
        <f t="shared" si="29"/>
        <v>43465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57">
        <f t="shared" si="29"/>
        <v>43465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57">
        <f t="shared" si="29"/>
        <v>43465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57">
        <f aca="true" t="shared" si="32" ref="C410:C459">endDate</f>
        <v>43465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57">
        <f t="shared" si="32"/>
        <v>43465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57">
        <f t="shared" si="32"/>
        <v>43465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57">
        <f t="shared" si="32"/>
        <v>43465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57">
        <f t="shared" si="32"/>
        <v>43465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57">
        <f t="shared" si="32"/>
        <v>43465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57">
        <f t="shared" si="32"/>
        <v>43465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357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57">
        <f t="shared" si="32"/>
        <v>43465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57">
        <f t="shared" si="32"/>
        <v>43465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57">
        <f t="shared" si="32"/>
        <v>43465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57">
        <f t="shared" si="32"/>
        <v>43465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357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57">
        <f t="shared" si="32"/>
        <v>43465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554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57">
        <f t="shared" si="32"/>
        <v>43465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57">
        <f t="shared" si="32"/>
        <v>43465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57">
        <f t="shared" si="32"/>
        <v>43465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57">
        <f t="shared" si="32"/>
        <v>43465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57">
        <f t="shared" si="32"/>
        <v>43465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57">
        <f t="shared" si="32"/>
        <v>43465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57">
        <f t="shared" si="32"/>
        <v>43465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57">
        <f t="shared" si="32"/>
        <v>43465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57">
        <f t="shared" si="32"/>
        <v>43465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57">
        <f t="shared" si="32"/>
        <v>43465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57">
        <f t="shared" si="32"/>
        <v>43465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57">
        <f t="shared" si="32"/>
        <v>43465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57">
        <f t="shared" si="32"/>
        <v>43465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911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57">
        <f t="shared" si="32"/>
        <v>43465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57">
        <f t="shared" si="32"/>
        <v>43465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57">
        <f t="shared" si="32"/>
        <v>43465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911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57">
        <f t="shared" si="32"/>
        <v>43465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57">
        <f t="shared" si="32"/>
        <v>43465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57">
        <f t="shared" si="32"/>
        <v>43465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57">
        <f t="shared" si="32"/>
        <v>43465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57">
        <f t="shared" si="32"/>
        <v>43465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57">
        <f t="shared" si="32"/>
        <v>43465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57">
        <f t="shared" si="32"/>
        <v>43465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57">
        <f t="shared" si="32"/>
        <v>43465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57">
        <f t="shared" si="32"/>
        <v>43465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57">
        <f t="shared" si="32"/>
        <v>43465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57">
        <f t="shared" si="32"/>
        <v>43465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57">
        <f t="shared" si="32"/>
        <v>43465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57">
        <f t="shared" si="32"/>
        <v>43465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57">
        <f t="shared" si="32"/>
        <v>43465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57">
        <f t="shared" si="32"/>
        <v>43465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57">
        <f t="shared" si="32"/>
        <v>43465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57">
        <f t="shared" si="32"/>
        <v>43465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57">
        <f t="shared" si="32"/>
        <v>43465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57">
        <f t="shared" si="32"/>
        <v>43465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57">
        <f t="shared" si="32"/>
        <v>43465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57">
        <f t="shared" si="32"/>
        <v>43465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57">
        <f t="shared" si="32"/>
        <v>43465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57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3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57">
        <f t="shared" si="35"/>
        <v>43465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57">
        <f t="shared" si="35"/>
        <v>43465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57">
        <f t="shared" si="35"/>
        <v>43465</v>
      </c>
      <c r="D467" s="92" t="s">
        <v>526</v>
      </c>
      <c r="E467" s="92">
        <v>1</v>
      </c>
      <c r="F467" s="92" t="s">
        <v>525</v>
      </c>
      <c r="H467" s="283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57">
        <f t="shared" si="35"/>
        <v>43465</v>
      </c>
      <c r="D468" s="92" t="s">
        <v>528</v>
      </c>
      <c r="E468" s="92">
        <v>1</v>
      </c>
      <c r="F468" s="92" t="s">
        <v>517</v>
      </c>
      <c r="H468" s="283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57">
        <f t="shared" si="35"/>
        <v>43465</v>
      </c>
      <c r="D469" s="92" t="s">
        <v>530</v>
      </c>
      <c r="E469" s="92">
        <v>1</v>
      </c>
      <c r="F469" s="92" t="s">
        <v>518</v>
      </c>
      <c r="H469" s="283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57">
        <f t="shared" si="35"/>
        <v>43465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57">
        <f t="shared" si="35"/>
        <v>43465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57">
        <f t="shared" si="35"/>
        <v>43465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57">
        <f t="shared" si="35"/>
        <v>43465</v>
      </c>
      <c r="D473" s="92" t="s">
        <v>535</v>
      </c>
      <c r="E473" s="92">
        <v>1</v>
      </c>
      <c r="F473" s="92" t="s">
        <v>529</v>
      </c>
      <c r="H473" s="283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57">
        <f t="shared" si="35"/>
        <v>43465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57">
        <f t="shared" si="35"/>
        <v>43465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57">
        <f t="shared" si="35"/>
        <v>43465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57">
        <f t="shared" si="35"/>
        <v>43465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57">
        <f t="shared" si="35"/>
        <v>43465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57">
        <f t="shared" si="35"/>
        <v>43465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57">
        <f t="shared" si="35"/>
        <v>43465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57">
        <f t="shared" si="35"/>
        <v>43465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57">
        <f t="shared" si="35"/>
        <v>43465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57">
        <f t="shared" si="35"/>
        <v>43465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57">
        <f t="shared" si="35"/>
        <v>43465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57">
        <f t="shared" si="35"/>
        <v>43465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57">
        <f t="shared" si="35"/>
        <v>43465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57">
        <f t="shared" si="35"/>
        <v>43465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57">
        <f t="shared" si="35"/>
        <v>43465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57">
        <f t="shared" si="35"/>
        <v>43465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57">
        <f t="shared" si="35"/>
        <v>43465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57">
        <f t="shared" si="35"/>
        <v>43465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57">
        <f t="shared" si="35"/>
        <v>43465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57">
        <f t="shared" si="35"/>
        <v>43465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57">
        <f t="shared" si="35"/>
        <v>43465</v>
      </c>
      <c r="D494" s="92" t="s">
        <v>519</v>
      </c>
      <c r="E494" s="92">
        <v>4</v>
      </c>
      <c r="F494" s="92" t="s">
        <v>518</v>
      </c>
      <c r="H494" s="283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57">
        <f t="shared" si="35"/>
        <v>43465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57">
        <f t="shared" si="35"/>
        <v>43465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57">
        <f t="shared" si="35"/>
        <v>43465</v>
      </c>
      <c r="D497" s="92" t="s">
        <v>526</v>
      </c>
      <c r="E497" s="92">
        <v>4</v>
      </c>
      <c r="F497" s="92" t="s">
        <v>525</v>
      </c>
      <c r="H497" s="283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57">
        <f t="shared" si="35"/>
        <v>43465</v>
      </c>
      <c r="D498" s="92" t="s">
        <v>528</v>
      </c>
      <c r="E498" s="92">
        <v>4</v>
      </c>
      <c r="F498" s="92" t="s">
        <v>517</v>
      </c>
      <c r="H498" s="283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57">
        <f t="shared" si="35"/>
        <v>43465</v>
      </c>
      <c r="D499" s="92" t="s">
        <v>530</v>
      </c>
      <c r="E499" s="92">
        <v>4</v>
      </c>
      <c r="F499" s="92" t="s">
        <v>518</v>
      </c>
      <c r="H499" s="283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57">
        <f t="shared" si="35"/>
        <v>43465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57">
        <f t="shared" si="35"/>
        <v>43465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57">
        <f t="shared" si="35"/>
        <v>43465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57">
        <f t="shared" si="35"/>
        <v>43465</v>
      </c>
      <c r="D503" s="92" t="s">
        <v>535</v>
      </c>
      <c r="E503" s="92">
        <v>4</v>
      </c>
      <c r="F503" s="92" t="s">
        <v>529</v>
      </c>
      <c r="H503" s="2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2019-01-29T13:19:56Z</cp:lastPrinted>
  <dcterms:created xsi:type="dcterms:W3CDTF">2006-09-16T00:00:00Z</dcterms:created>
  <dcterms:modified xsi:type="dcterms:W3CDTF">2019-01-29T13:47:31Z</dcterms:modified>
  <cp:category/>
  <cp:version/>
  <cp:contentType/>
  <cp:contentStatus/>
</cp:coreProperties>
</file>